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Research data\3_Multi_separation_method\Real matrix tests\1_Concrete tests\"/>
    </mc:Choice>
  </mc:AlternateContent>
  <bookViews>
    <workbookView xWindow="-120" yWindow="-120" windowWidth="29040" windowHeight="15840" activeTab="1"/>
  </bookViews>
  <sheets>
    <sheet name="Uranium" sheetId="1" r:id="rId1"/>
    <sheet name="Thorium" sheetId="3" r:id="rId2"/>
    <sheet name="234.238" sheetId="2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14" i="2" l="1"/>
  <c r="L13" i="2"/>
  <c r="O13" i="2" l="1"/>
  <c r="O14" i="2"/>
  <c r="O15" i="2" s="1"/>
  <c r="L7" i="2" l="1"/>
  <c r="M7" i="2" s="1"/>
  <c r="E23" i="1" l="1"/>
  <c r="E31" i="1"/>
  <c r="E29" i="1"/>
  <c r="E27" i="1"/>
  <c r="E25" i="1"/>
  <c r="D23" i="1"/>
  <c r="D21" i="1"/>
  <c r="B7" i="1"/>
  <c r="D25" i="1"/>
  <c r="D27" i="1"/>
  <c r="D29" i="1"/>
  <c r="Y42" i="2" l="1"/>
  <c r="Y41" i="2"/>
  <c r="Y40" i="2"/>
  <c r="V21" i="2" l="1"/>
  <c r="R8" i="2"/>
  <c r="R9" i="2"/>
  <c r="R10" i="2"/>
  <c r="R11" i="2"/>
  <c r="R7" i="2"/>
  <c r="T7" i="2" s="1"/>
  <c r="Q7" i="2"/>
  <c r="AC18" i="2"/>
  <c r="AC21" i="2"/>
  <c r="AA31" i="2" l="1"/>
  <c r="Y31" i="2"/>
  <c r="X31" i="2"/>
  <c r="AC25" i="2"/>
  <c r="AA27" i="2"/>
  <c r="V31" i="2"/>
  <c r="U31" i="2"/>
  <c r="S31" i="2"/>
  <c r="Q31" i="2"/>
  <c r="L31" i="2"/>
  <c r="I31" i="2"/>
  <c r="Q8" i="2" l="1"/>
  <c r="T8" i="2" s="1"/>
  <c r="Q9" i="2"/>
  <c r="T9" i="2" s="1"/>
  <c r="Q10" i="2"/>
  <c r="T10" i="2" s="1"/>
  <c r="Q11" i="2"/>
  <c r="T11" i="2" s="1"/>
  <c r="Y45" i="2"/>
  <c r="Z45" i="2" s="1"/>
  <c r="AA45" i="2" s="1"/>
  <c r="AC27" i="2"/>
  <c r="AA21" i="2"/>
  <c r="AG31" i="2"/>
  <c r="X21" i="2"/>
  <c r="L8" i="2"/>
  <c r="M8" i="2" s="1"/>
  <c r="L9" i="2"/>
  <c r="M9" i="2" s="1"/>
  <c r="L10" i="2"/>
  <c r="M10" i="2" s="1"/>
  <c r="L11" i="2"/>
  <c r="M11" i="2" s="1"/>
  <c r="V27" i="2"/>
  <c r="N4" i="1"/>
  <c r="C2" i="1"/>
  <c r="Y27" i="2" l="1"/>
  <c r="X27" i="2"/>
  <c r="Y21" i="2"/>
  <c r="U27" i="2"/>
  <c r="AA2" i="2"/>
  <c r="AF2" i="2"/>
  <c r="AA5" i="2"/>
  <c r="Y5" i="2"/>
  <c r="Z5" i="2" s="1"/>
  <c r="AA4" i="2"/>
  <c r="AA3" i="2"/>
  <c r="Z3" i="2"/>
  <c r="AD2" i="2"/>
  <c r="Y2" i="2"/>
  <c r="Z2" i="2" l="1"/>
  <c r="AG2" i="2" s="1"/>
  <c r="S27" i="2"/>
  <c r="R27" i="2"/>
  <c r="Q27" i="2"/>
  <c r="AH2" i="2" l="1"/>
  <c r="AJ4" i="2" l="1"/>
  <c r="AH16" i="2"/>
  <c r="AJ2" i="2"/>
  <c r="AJ5" i="2"/>
  <c r="AJ3" i="2"/>
  <c r="AL5" i="2" l="1"/>
  <c r="AJ16" i="2" s="1"/>
  <c r="AM5" i="2" l="1"/>
  <c r="AG16" i="2" s="1"/>
  <c r="U21" i="2" l="1"/>
  <c r="S21" i="2"/>
  <c r="R21" i="2"/>
  <c r="Q21" i="2"/>
  <c r="J8" i="2" l="1"/>
  <c r="K8" i="2" s="1"/>
  <c r="J9" i="2"/>
  <c r="K9" i="2" s="1"/>
  <c r="J10" i="2"/>
  <c r="K10" i="2" s="1"/>
  <c r="J11" i="2"/>
  <c r="K11" i="2" s="1"/>
  <c r="J7" i="2"/>
  <c r="K7" i="2" s="1"/>
  <c r="H45" i="3" l="1"/>
  <c r="L45" i="3"/>
  <c r="I31" i="1" l="1"/>
  <c r="H31" i="1"/>
  <c r="M7" i="1" l="1"/>
  <c r="L7" i="1"/>
  <c r="I7" i="1"/>
  <c r="H7" i="1"/>
  <c r="B10" i="1" l="1"/>
  <c r="M10" i="1"/>
  <c r="L10" i="1"/>
  <c r="I10" i="1"/>
  <c r="H10" i="1"/>
  <c r="M4" i="1"/>
  <c r="M2" i="1"/>
  <c r="L4" i="1"/>
  <c r="I4" i="1"/>
  <c r="C4" i="1"/>
  <c r="H4" i="1"/>
  <c r="C4" i="3"/>
  <c r="A10" i="3"/>
  <c r="G45" i="3" l="1"/>
  <c r="I45" i="3" l="1"/>
  <c r="J45" i="3" s="1"/>
  <c r="J31" i="1"/>
  <c r="K31" i="1" s="1"/>
  <c r="G25" i="1" l="1"/>
  <c r="L31" i="1" s="1"/>
  <c r="D17" i="1"/>
  <c r="D19" i="1" s="1"/>
  <c r="M31" i="1" l="1"/>
  <c r="N31" i="1" s="1"/>
  <c r="G30" i="3"/>
  <c r="K45" i="3" s="1"/>
  <c r="D25" i="3"/>
  <c r="D27" i="3" s="1"/>
  <c r="D30" i="3" s="1"/>
  <c r="M45" i="3" l="1"/>
  <c r="H7" i="3"/>
  <c r="H2" i="3"/>
  <c r="C2" i="3"/>
  <c r="I2" i="3" l="1"/>
  <c r="H4" i="3"/>
  <c r="I7" i="3"/>
  <c r="H10" i="3"/>
  <c r="H2" i="1"/>
  <c r="I2" i="1" s="1"/>
  <c r="L2" i="1" s="1"/>
  <c r="L2" i="3" l="1"/>
  <c r="I4" i="3"/>
  <c r="L7" i="3"/>
  <c r="I10" i="3"/>
  <c r="D31" i="1"/>
  <c r="L4" i="3" l="1"/>
  <c r="M2" i="3"/>
  <c r="M4" i="3" s="1"/>
  <c r="I18" i="3"/>
  <c r="L10" i="3"/>
  <c r="M7" i="3" l="1"/>
  <c r="B7" i="3" s="1"/>
  <c r="M10" i="3" l="1"/>
  <c r="D33" i="3"/>
  <c r="D35" i="3" s="1"/>
  <c r="D37" i="3" s="1"/>
  <c r="B10" i="3"/>
  <c r="E33" i="3" s="1"/>
  <c r="E35" i="3" s="1"/>
  <c r="E37" i="3" s="1"/>
  <c r="E39" i="3" s="1"/>
  <c r="D43" i="3" l="1"/>
  <c r="D45" i="3" s="1"/>
  <c r="D39" i="3"/>
</calcChain>
</file>

<file path=xl/sharedStrings.xml><?xml version="1.0" encoding="utf-8"?>
<sst xmlns="http://schemas.openxmlformats.org/spreadsheetml/2006/main" count="172" uniqueCount="111">
  <si>
    <t>Mass Ram 1593 added</t>
  </si>
  <si>
    <t>Activity of U236 added</t>
  </si>
  <si>
    <t>Mass U ICPMS dilute added</t>
  </si>
  <si>
    <t>Time counted for (sec)</t>
  </si>
  <si>
    <t>Counts of U236</t>
  </si>
  <si>
    <t>Bkgd counts</t>
  </si>
  <si>
    <t>Bkgd corrected counts</t>
  </si>
  <si>
    <t>Activity measured</t>
  </si>
  <si>
    <t>Counter efficiency (%)</t>
  </si>
  <si>
    <t>Corrected activity (bq)</t>
  </si>
  <si>
    <t>Recovery</t>
  </si>
  <si>
    <t xml:space="preserve">Time counted for </t>
  </si>
  <si>
    <t>Counts of U 238</t>
  </si>
  <si>
    <t>Bkgd Counts</t>
  </si>
  <si>
    <t>Efficiency Corrected activity (bq)</t>
  </si>
  <si>
    <t>Recovery corrected activity</t>
  </si>
  <si>
    <t>Activity conc (bq/g)</t>
  </si>
  <si>
    <t>activity conc of std (bq/g)</t>
  </si>
  <si>
    <t>Mass Ram 1459 added</t>
  </si>
  <si>
    <t>Mass Th ICPMS dilute added</t>
  </si>
  <si>
    <t>Activity of Th-229 added</t>
  </si>
  <si>
    <t>Counts of Th-229</t>
  </si>
  <si>
    <t>Counts of Th-232</t>
  </si>
  <si>
    <t>t1/2 th years =</t>
  </si>
  <si>
    <t>t1/2 th secs =</t>
  </si>
  <si>
    <t>lambda Th 232</t>
  </si>
  <si>
    <t>Number of atoms Th per gram of icpms dilute =</t>
  </si>
  <si>
    <t>number of moles Th per gram of icpms dilute =</t>
  </si>
  <si>
    <t>avogadros =</t>
  </si>
  <si>
    <t xml:space="preserve">Mass of th 232 per gram of icpms dilute = </t>
  </si>
  <si>
    <t>Conc of Th 232 in icpms dilute (ppm) =</t>
  </si>
  <si>
    <t xml:space="preserve">Actual conc = 1000ppm </t>
  </si>
  <si>
    <t>mass th 232 added to sample (g) =</t>
  </si>
  <si>
    <t>mass in ug =</t>
  </si>
  <si>
    <t>t1/2 u238 years=</t>
  </si>
  <si>
    <t>T1/2 U 238 in secs =</t>
  </si>
  <si>
    <t>lambda u 238</t>
  </si>
  <si>
    <t>Number of atoms in dilute =</t>
  </si>
  <si>
    <t xml:space="preserve">avogadro = </t>
  </si>
  <si>
    <t>number of moles of u238 per gram dilute =</t>
  </si>
  <si>
    <t>mass of u 238 per gram dilute (g) =</t>
  </si>
  <si>
    <t>conc of U 238 (ppm)=</t>
  </si>
  <si>
    <t>Mass of U238 in sample (ug) =</t>
  </si>
  <si>
    <t>number of moles</t>
  </si>
  <si>
    <t>number of atoms</t>
  </si>
  <si>
    <t>activity associated</t>
  </si>
  <si>
    <t>mass u in sample (ug)</t>
  </si>
  <si>
    <t>mass u in sample (g)</t>
  </si>
  <si>
    <t>mass Th in sample (ug)</t>
  </si>
  <si>
    <t>mass Th in sample (g)</t>
  </si>
  <si>
    <t>number of moles Th</t>
  </si>
  <si>
    <t>activity of Th in sample (bq)</t>
  </si>
  <si>
    <t>Bq Th 232 per gram concrete</t>
  </si>
  <si>
    <t xml:space="preserve">Bq U-238 per gram of matrix </t>
  </si>
  <si>
    <t>σ</t>
  </si>
  <si>
    <t>test</t>
  </si>
  <si>
    <t>u 238</t>
  </si>
  <si>
    <t xml:space="preserve"> u236</t>
  </si>
  <si>
    <t>u234</t>
  </si>
  <si>
    <t>238/234</t>
  </si>
  <si>
    <t>238 count</t>
  </si>
  <si>
    <t>236 count</t>
  </si>
  <si>
    <t>234 count</t>
  </si>
  <si>
    <t>238 act</t>
  </si>
  <si>
    <t>236 act</t>
  </si>
  <si>
    <t>234 act</t>
  </si>
  <si>
    <t>calib</t>
  </si>
  <si>
    <t>u bkg</t>
  </si>
  <si>
    <t>t 1/2 yrs</t>
  </si>
  <si>
    <t>t 1/2 days</t>
  </si>
  <si>
    <t>t 1/2 secs</t>
  </si>
  <si>
    <t>lambda</t>
  </si>
  <si>
    <t>time from now (years)</t>
  </si>
  <si>
    <t>time from now (secs)</t>
  </si>
  <si>
    <t>Activity</t>
  </si>
  <si>
    <t>Original activity (2003)</t>
  </si>
  <si>
    <t>Number of atoms</t>
  </si>
  <si>
    <t>C value</t>
  </si>
  <si>
    <t>activity</t>
  </si>
  <si>
    <t>th234</t>
  </si>
  <si>
    <t>pa 234</t>
  </si>
  <si>
    <t>u 234</t>
  </si>
  <si>
    <t>% of u 234 atoms</t>
  </si>
  <si>
    <t>total u atoms</t>
  </si>
  <si>
    <t>^ = 238/(nat abund of 238U/100)</t>
  </si>
  <si>
    <t>nat abundace of u234 is 0.005%</t>
  </si>
  <si>
    <t>238 N</t>
  </si>
  <si>
    <t>234 N</t>
  </si>
  <si>
    <t>2σ</t>
  </si>
  <si>
    <t>234/238</t>
  </si>
  <si>
    <t>tot</t>
  </si>
  <si>
    <t>235 u t1/2 yr</t>
  </si>
  <si>
    <t>235u N</t>
  </si>
  <si>
    <t>235 u act</t>
  </si>
  <si>
    <t>u238 N</t>
  </si>
  <si>
    <r>
      <t xml:space="preserve">u bkg </t>
    </r>
    <r>
      <rPr>
        <sz val="11"/>
        <color theme="1"/>
        <rFont val="Calibri"/>
        <family val="2"/>
      </rPr>
      <t>σ</t>
    </r>
  </si>
  <si>
    <t>efficiency</t>
  </si>
  <si>
    <t>time</t>
  </si>
  <si>
    <t>u234N</t>
  </si>
  <si>
    <t>234/238N</t>
  </si>
  <si>
    <t>.</t>
  </si>
  <si>
    <r>
      <t xml:space="preserve">238/234 </t>
    </r>
    <r>
      <rPr>
        <sz val="11"/>
        <color theme="1"/>
        <rFont val="Calibri"/>
        <family val="2"/>
      </rPr>
      <t>σ</t>
    </r>
  </si>
  <si>
    <r>
      <t xml:space="preserve">234/238 </t>
    </r>
    <r>
      <rPr>
        <sz val="11"/>
        <color theme="1"/>
        <rFont val="Calibri"/>
        <family val="2"/>
      </rPr>
      <t>σ</t>
    </r>
  </si>
  <si>
    <r>
      <t xml:space="preserve">u 238 </t>
    </r>
    <r>
      <rPr>
        <sz val="11"/>
        <color theme="1"/>
        <rFont val="Calibri"/>
        <family val="2"/>
      </rPr>
      <t>σ</t>
    </r>
  </si>
  <si>
    <r>
      <t>u234</t>
    </r>
    <r>
      <rPr>
        <sz val="11"/>
        <color theme="1"/>
        <rFont val="Calibri"/>
        <family val="2"/>
      </rPr>
      <t>σ</t>
    </r>
  </si>
  <si>
    <t>calcuated 234/238</t>
  </si>
  <si>
    <t>ratios</t>
  </si>
  <si>
    <t>avg</t>
  </si>
  <si>
    <t>stdev</t>
  </si>
  <si>
    <t>2 sig</t>
  </si>
  <si>
    <t>U chem yield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</si>
</sst>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1" fontId="0" fillId="0" borderId="0" xfId="0" applyNumberFormat="1"/>
    <xf numFmtId="0" fontId="0" fillId="2" borderId="1" xfId="0" applyFill="1" applyBorder="1"/>
    <xf numFmtId="0" fontId="0" fillId="0" borderId="1" xfId="0" applyBorder="1"/>
    <xf numFmtId="0" fontId="0" fillId="2" borderId="0" xfId="0" applyFill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tests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'234.238'!$A$7:$A$11</c:f>
              <c:numCache>
                <c:formatCode>General</c:formatCode>
                <c:ptCount val="5"/>
                <c:pt idx="0">
                  <c:v>44</c:v>
                </c:pt>
                <c:pt idx="1">
                  <c:v>52.2</c:v>
                </c:pt>
                <c:pt idx="2">
                  <c:v>79.7</c:v>
                </c:pt>
                <c:pt idx="3">
                  <c:v>71</c:v>
                </c:pt>
                <c:pt idx="4">
                  <c:v>61</c:v>
                </c:pt>
              </c:numCache>
            </c:numRef>
          </c:xVal>
          <c:yVal>
            <c:numRef>
              <c:f>'234.238'!$L$7:$L$11</c:f>
              <c:numCache>
                <c:formatCode>General</c:formatCode>
                <c:ptCount val="5"/>
                <c:pt idx="0">
                  <c:v>0.27500000000000002</c:v>
                </c:pt>
                <c:pt idx="1">
                  <c:v>0.25304878048780488</c:v>
                </c:pt>
                <c:pt idx="2">
                  <c:v>0.2977867203219316</c:v>
                </c:pt>
                <c:pt idx="3">
                  <c:v>0.26516853932584272</c:v>
                </c:pt>
                <c:pt idx="4">
                  <c:v>0.26904761904761904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72-409C-9BCE-D888BB80EA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026160"/>
        <c:axId val="490026488"/>
      </c:scatterChart>
      <c:valAx>
        <c:axId val="490026160"/>
        <c:scaling>
          <c:orientation val="minMax"/>
          <c:min val="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yield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026488"/>
        <c:crosses val="autoZero"/>
        <c:crossBetween val="midCat"/>
      </c:valAx>
      <c:valAx>
        <c:axId val="490026488"/>
        <c:scaling>
          <c:orientation val="minMax"/>
          <c:min val="0.2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234/238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00261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</xdr:colOff>
      <xdr:row>33</xdr:row>
      <xdr:rowOff>19050</xdr:rowOff>
    </xdr:from>
    <xdr:to>
      <xdr:col>14</xdr:col>
      <xdr:colOff>695325</xdr:colOff>
      <xdr:row>47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zoomScale="70" zoomScaleNormal="70" workbookViewId="0">
      <selection activeCell="E29" sqref="E29"/>
    </sheetView>
  </sheetViews>
  <sheetFormatPr defaultRowHeight="15" x14ac:dyDescent="0.25"/>
  <cols>
    <col min="1" max="1" width="28.5703125" bestFit="1" customWidth="1"/>
    <col min="2" max="2" width="25.85546875" bestFit="1" customWidth="1"/>
    <col min="3" max="3" width="43.7109375" bestFit="1" customWidth="1"/>
    <col min="4" max="4" width="13" bestFit="1" customWidth="1"/>
    <col min="5" max="5" width="23.42578125" bestFit="1" customWidth="1"/>
    <col min="6" max="6" width="16.28515625" bestFit="1" customWidth="1"/>
    <col min="7" max="7" width="13" bestFit="1" customWidth="1"/>
    <col min="8" max="8" width="22.7109375" bestFit="1" customWidth="1"/>
    <col min="9" max="9" width="23.42578125" bestFit="1" customWidth="1"/>
    <col min="10" max="10" width="22.42578125" bestFit="1" customWidth="1"/>
    <col min="11" max="11" width="18" bestFit="1" customWidth="1"/>
    <col min="12" max="12" width="32.7109375" bestFit="1" customWidth="1"/>
    <col min="13" max="13" width="27" bestFit="1" customWidth="1"/>
    <col min="14" max="14" width="29.140625" bestFit="1" customWidth="1"/>
  </cols>
  <sheetData>
    <row r="1" spans="1:14" x14ac:dyDescent="0.25">
      <c r="A1" t="s">
        <v>0</v>
      </c>
      <c r="B1" t="s">
        <v>17</v>
      </c>
      <c r="C1" t="s">
        <v>1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L1" t="s">
        <v>9</v>
      </c>
      <c r="M1" t="s">
        <v>10</v>
      </c>
    </row>
    <row r="2" spans="1:14" x14ac:dyDescent="0.25">
      <c r="A2">
        <v>0.55179999999999996</v>
      </c>
      <c r="B2">
        <v>9.937E-2</v>
      </c>
      <c r="C2">
        <f>B2*A2</f>
        <v>5.4832365999999993E-2</v>
      </c>
      <c r="E2">
        <v>200000</v>
      </c>
      <c r="F2">
        <v>4037</v>
      </c>
      <c r="G2">
        <v>2</v>
      </c>
      <c r="H2">
        <f>F2-G2</f>
        <v>4035</v>
      </c>
      <c r="I2">
        <f>H2/E2</f>
        <v>2.0174999999999998E-2</v>
      </c>
      <c r="J2">
        <v>35.76</v>
      </c>
      <c r="L2">
        <f>I2/(J2/100)</f>
        <v>5.6417785234899327E-2</v>
      </c>
      <c r="M2">
        <f>L2/C2</f>
        <v>1.0289139307776602</v>
      </c>
    </row>
    <row r="3" spans="1:14" x14ac:dyDescent="0.25">
      <c r="A3" s="1" t="s">
        <v>54</v>
      </c>
      <c r="B3" s="1" t="s">
        <v>54</v>
      </c>
      <c r="C3" s="1" t="s">
        <v>54</v>
      </c>
      <c r="E3" s="1" t="s">
        <v>54</v>
      </c>
      <c r="H3" s="1" t="s">
        <v>54</v>
      </c>
      <c r="I3" s="1" t="s">
        <v>54</v>
      </c>
      <c r="J3" s="1" t="s">
        <v>54</v>
      </c>
      <c r="L3" s="1" t="s">
        <v>54</v>
      </c>
      <c r="M3" s="1" t="s">
        <v>54</v>
      </c>
      <c r="N3" t="s">
        <v>88</v>
      </c>
    </row>
    <row r="4" spans="1:14" x14ac:dyDescent="0.25">
      <c r="A4">
        <v>1E-4</v>
      </c>
      <c r="B4">
        <v>1.0000000000000001E-5</v>
      </c>
      <c r="C4">
        <f>C2*SQRT(((A4/A2)^2)+((B4/B2)^2))</f>
        <v>1.136627876659727E-5</v>
      </c>
      <c r="E4">
        <v>0.01</v>
      </c>
      <c r="H4">
        <f>SQRT(H2)</f>
        <v>63.521649852628983</v>
      </c>
      <c r="I4">
        <f>I2*SQRT(((H4/H2)^2)+((E4/E2)^2))</f>
        <v>3.176082492647468E-4</v>
      </c>
      <c r="J4">
        <v>0.84883347138757315</v>
      </c>
      <c r="L4">
        <f>L2*SQRT(((I4/I2)^2)+((J4/J2)^2))</f>
        <v>1.6069410085482059E-3</v>
      </c>
      <c r="M4">
        <f>M2*SQRT(((C4/C2)^2)+((L4/L2)^2))</f>
        <v>2.9307208161943196E-2</v>
      </c>
      <c r="N4">
        <f>M4*2</f>
        <v>5.8614416323886392E-2</v>
      </c>
    </row>
    <row r="6" spans="1:14" x14ac:dyDescent="0.25">
      <c r="A6" t="s">
        <v>2</v>
      </c>
      <c r="B6" t="s">
        <v>16</v>
      </c>
      <c r="E6" t="s">
        <v>11</v>
      </c>
      <c r="F6" t="s">
        <v>12</v>
      </c>
      <c r="G6" t="s">
        <v>13</v>
      </c>
      <c r="H6" t="s">
        <v>6</v>
      </c>
      <c r="I6" t="s">
        <v>7</v>
      </c>
      <c r="J6" t="s">
        <v>8</v>
      </c>
      <c r="L6" t="s">
        <v>14</v>
      </c>
      <c r="M6" t="s">
        <v>15</v>
      </c>
    </row>
    <row r="7" spans="1:14" x14ac:dyDescent="0.25">
      <c r="A7">
        <v>8.48E-2</v>
      </c>
      <c r="B7">
        <f>M7/A7</f>
        <v>0.61007112693764465</v>
      </c>
      <c r="E7">
        <v>200000</v>
      </c>
      <c r="F7">
        <v>3808</v>
      </c>
      <c r="G7">
        <v>1</v>
      </c>
      <c r="H7">
        <f>F7-G7</f>
        <v>3807</v>
      </c>
      <c r="I7">
        <f>H7/E7</f>
        <v>1.9035E-2</v>
      </c>
      <c r="J7">
        <v>35.76</v>
      </c>
      <c r="L7">
        <f>I7/(J7/100)</f>
        <v>5.3229865771812081E-2</v>
      </c>
      <c r="M7">
        <f>L7/M2</f>
        <v>5.1734031564312263E-2</v>
      </c>
    </row>
    <row r="9" spans="1:14" x14ac:dyDescent="0.25">
      <c r="A9" s="1" t="s">
        <v>54</v>
      </c>
      <c r="B9" s="1" t="s">
        <v>54</v>
      </c>
      <c r="E9" s="1" t="s">
        <v>54</v>
      </c>
      <c r="H9" s="1" t="s">
        <v>54</v>
      </c>
      <c r="I9" s="1" t="s">
        <v>54</v>
      </c>
      <c r="J9" s="1" t="s">
        <v>54</v>
      </c>
      <c r="L9" s="1" t="s">
        <v>54</v>
      </c>
      <c r="M9" s="1" t="s">
        <v>54</v>
      </c>
    </row>
    <row r="10" spans="1:14" x14ac:dyDescent="0.25">
      <c r="A10">
        <v>1E-4</v>
      </c>
      <c r="B10">
        <f>B7*SQRT(((A10/A7)^2)+((M10/M7)^2))</f>
        <v>2.4697145922778895E-2</v>
      </c>
      <c r="E10">
        <v>0.01</v>
      </c>
      <c r="H10">
        <f>SQRT(H7)</f>
        <v>61.700891403609397</v>
      </c>
      <c r="I10">
        <f>I7*SQRT(((H10/H7)^2)+((E10/E7)^2))</f>
        <v>3.0850445701951509E-4</v>
      </c>
      <c r="J10">
        <v>0.84883347138757315</v>
      </c>
      <c r="L10">
        <f>L7*SQRT(((J10/J7)^2)+((I10/I7)^2))</f>
        <v>1.529946171362178E-3</v>
      </c>
      <c r="M10">
        <f>M7*SQRT(((L10/L7)^2)+((M4/M2)^2))</f>
        <v>2.0934292224659293E-3</v>
      </c>
    </row>
    <row r="17" spans="3:14" x14ac:dyDescent="0.25">
      <c r="C17" t="s">
        <v>34</v>
      </c>
      <c r="D17">
        <f>4.468*10^9</f>
        <v>4468000000</v>
      </c>
    </row>
    <row r="19" spans="3:14" x14ac:dyDescent="0.25">
      <c r="C19" t="s">
        <v>35</v>
      </c>
      <c r="D19">
        <f>D17*365.25*24*60*60</f>
        <v>1.409993568E+17</v>
      </c>
    </row>
    <row r="21" spans="3:14" x14ac:dyDescent="0.25">
      <c r="C21" t="s">
        <v>36</v>
      </c>
      <c r="D21">
        <f>(LN(2))/D19</f>
        <v>4.9159598759243794E-18</v>
      </c>
      <c r="E21" s="1" t="s">
        <v>54</v>
      </c>
    </row>
    <row r="23" spans="3:14" x14ac:dyDescent="0.25">
      <c r="C23" t="s">
        <v>37</v>
      </c>
      <c r="D23">
        <f>B7/D21</f>
        <v>1.2410010299828354E+17</v>
      </c>
      <c r="E23">
        <f>B10/D21</f>
        <v>5023870525008086</v>
      </c>
    </row>
    <row r="25" spans="3:14" x14ac:dyDescent="0.25">
      <c r="C25" t="s">
        <v>39</v>
      </c>
      <c r="D25">
        <f>D23/G25</f>
        <v>2.0607788608150705E-7</v>
      </c>
      <c r="E25">
        <f>E23/G25</f>
        <v>8.3425282713518543E-9</v>
      </c>
      <c r="F25" t="s">
        <v>38</v>
      </c>
      <c r="G25">
        <f>6.022*10^23</f>
        <v>6.0219999999999996E+23</v>
      </c>
    </row>
    <row r="27" spans="3:14" x14ac:dyDescent="0.25">
      <c r="C27" t="s">
        <v>40</v>
      </c>
      <c r="D27">
        <f>D25*238</f>
        <v>4.9046536887398679E-5</v>
      </c>
      <c r="E27">
        <f>E25*238</f>
        <v>1.9855217285817413E-6</v>
      </c>
    </row>
    <row r="29" spans="3:14" x14ac:dyDescent="0.25">
      <c r="C29" t="s">
        <v>41</v>
      </c>
      <c r="D29">
        <f>D27*1000000</f>
        <v>49.04653688739868</v>
      </c>
      <c r="E29">
        <f>E27*1000000</f>
        <v>1.9855217285817413</v>
      </c>
      <c r="I29" t="s">
        <v>46</v>
      </c>
      <c r="J29" t="s">
        <v>47</v>
      </c>
      <c r="K29" t="s">
        <v>43</v>
      </c>
      <c r="L29" t="s">
        <v>44</v>
      </c>
      <c r="M29" t="s">
        <v>45</v>
      </c>
      <c r="N29" t="s">
        <v>53</v>
      </c>
    </row>
    <row r="30" spans="3:14" x14ac:dyDescent="0.25">
      <c r="E30" t="s">
        <v>100</v>
      </c>
      <c r="H30">
        <v>47.5</v>
      </c>
    </row>
    <row r="31" spans="3:14" x14ac:dyDescent="0.25">
      <c r="C31" t="s">
        <v>42</v>
      </c>
      <c r="D31">
        <f>D29*A7</f>
        <v>4.159146328051408</v>
      </c>
      <c r="E31">
        <f>D31*SQRT(((A10/A7)^2)+((E29/D29)^2))</f>
        <v>0.1684436632838453</v>
      </c>
      <c r="H31">
        <f>20/1000</f>
        <v>0.02</v>
      </c>
      <c r="I31">
        <f>H31*H30</f>
        <v>0.95000000000000007</v>
      </c>
      <c r="J31">
        <f>I31/1000000</f>
        <v>9.5000000000000012E-7</v>
      </c>
      <c r="K31">
        <f>J31/238</f>
        <v>3.9915966386554627E-9</v>
      </c>
      <c r="L31">
        <f>K31*G25</f>
        <v>2403739495798319.5</v>
      </c>
      <c r="M31">
        <f>D21*L31</f>
        <v>1.1816686913519238E-2</v>
      </c>
      <c r="N31">
        <f>M31/47.5</f>
        <v>2.4877235607408924E-4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zoomScale="70" zoomScaleNormal="70" workbookViewId="0">
      <selection activeCell="H14" sqref="H14"/>
    </sheetView>
  </sheetViews>
  <sheetFormatPr defaultRowHeight="15" x14ac:dyDescent="0.25"/>
  <cols>
    <col min="1" max="1" width="28.5703125" bestFit="1" customWidth="1"/>
    <col min="2" max="2" width="23.7109375" bestFit="1" customWidth="1"/>
    <col min="3" max="3" width="43.42578125" bestFit="1" customWidth="1"/>
    <col min="4" max="4" width="12" bestFit="1" customWidth="1"/>
    <col min="5" max="5" width="21.140625" bestFit="1" customWidth="1"/>
    <col min="6" max="6" width="18.140625" bestFit="1" customWidth="1"/>
    <col min="7" max="7" width="16.28515625" bestFit="1" customWidth="1"/>
    <col min="8" max="8" width="20.7109375" bestFit="1" customWidth="1"/>
    <col min="9" max="9" width="20.140625" bestFit="1" customWidth="1"/>
    <col min="10" max="10" width="21" bestFit="1" customWidth="1"/>
    <col min="11" max="11" width="16.28515625" bestFit="1" customWidth="1"/>
    <col min="12" max="12" width="30.42578125" bestFit="1" customWidth="1"/>
    <col min="13" max="13" width="26.28515625" bestFit="1" customWidth="1"/>
  </cols>
  <sheetData>
    <row r="1" spans="1:13" x14ac:dyDescent="0.25">
      <c r="A1" t="s">
        <v>18</v>
      </c>
      <c r="B1" t="s">
        <v>17</v>
      </c>
      <c r="C1" t="s">
        <v>20</v>
      </c>
      <c r="E1" t="s">
        <v>3</v>
      </c>
      <c r="F1" t="s">
        <v>21</v>
      </c>
      <c r="G1" t="s">
        <v>5</v>
      </c>
      <c r="H1" t="s">
        <v>6</v>
      </c>
      <c r="I1" t="s">
        <v>7</v>
      </c>
      <c r="J1" t="s">
        <v>8</v>
      </c>
      <c r="L1" t="s">
        <v>9</v>
      </c>
      <c r="M1" t="s">
        <v>10</v>
      </c>
    </row>
    <row r="2" spans="1:13" x14ac:dyDescent="0.25">
      <c r="A2">
        <v>6.2700000000000006E-2</v>
      </c>
      <c r="B2">
        <v>0.85609999999999997</v>
      </c>
      <c r="C2">
        <f>B2*A2</f>
        <v>5.3677470000000005E-2</v>
      </c>
      <c r="E2">
        <v>189614.94</v>
      </c>
      <c r="F2">
        <v>2554</v>
      </c>
      <c r="G2">
        <v>2</v>
      </c>
      <c r="H2">
        <f>F2-G2</f>
        <v>2552</v>
      </c>
      <c r="I2">
        <f>H2/E2</f>
        <v>1.3458855088106453E-2</v>
      </c>
      <c r="J2">
        <v>35.76</v>
      </c>
      <c r="L2">
        <f>I2/(J2/100)</f>
        <v>3.7636619373899477E-2</v>
      </c>
      <c r="M2">
        <f>L2/C2</f>
        <v>0.70116231957093866</v>
      </c>
    </row>
    <row r="3" spans="1:13" x14ac:dyDescent="0.25">
      <c r="A3" s="1" t="s">
        <v>54</v>
      </c>
      <c r="B3" s="1" t="s">
        <v>54</v>
      </c>
      <c r="E3" s="1" t="s">
        <v>54</v>
      </c>
      <c r="H3" s="1" t="s">
        <v>54</v>
      </c>
      <c r="I3" s="1" t="s">
        <v>54</v>
      </c>
      <c r="J3" s="1" t="s">
        <v>54</v>
      </c>
      <c r="L3" s="1" t="s">
        <v>54</v>
      </c>
      <c r="M3" s="1" t="s">
        <v>54</v>
      </c>
    </row>
    <row r="4" spans="1:13" x14ac:dyDescent="0.25">
      <c r="A4">
        <v>1E-4</v>
      </c>
      <c r="B4">
        <v>1E-4</v>
      </c>
      <c r="C4">
        <f>C2*SQRT(((A4/A2)^2)+((B4/B2)^2))</f>
        <v>8.5839297527414573E-5</v>
      </c>
      <c r="E4">
        <v>0.01</v>
      </c>
      <c r="H4">
        <f>SQRT(H2)</f>
        <v>50.517323761260357</v>
      </c>
      <c r="I4">
        <f>I2*SQRT(((H4/H2)^2)+((E4/E2)^2))</f>
        <v>2.6642058775241885E-4</v>
      </c>
      <c r="J4">
        <v>0.84883347138757315</v>
      </c>
      <c r="L4">
        <f>L2*SQRT(((J4/J2)^2)+((I4/I2)^2))</f>
        <v>1.1632653534836552E-3</v>
      </c>
      <c r="M4">
        <f>M2*SQRT(((L4/L2)^2)+((C4/C2)^2))</f>
        <v>2.170037738375187E-2</v>
      </c>
    </row>
    <row r="6" spans="1:13" x14ac:dyDescent="0.25">
      <c r="A6" t="s">
        <v>19</v>
      </c>
      <c r="B6" t="s">
        <v>16</v>
      </c>
      <c r="E6" t="s">
        <v>11</v>
      </c>
      <c r="F6" t="s">
        <v>22</v>
      </c>
      <c r="G6" t="s">
        <v>13</v>
      </c>
      <c r="H6" t="s">
        <v>6</v>
      </c>
      <c r="I6" t="s">
        <v>7</v>
      </c>
      <c r="J6" t="s">
        <v>8</v>
      </c>
      <c r="L6" t="s">
        <v>14</v>
      </c>
      <c r="M6" t="s">
        <v>15</v>
      </c>
    </row>
    <row r="7" spans="1:13" x14ac:dyDescent="0.25">
      <c r="A7">
        <v>1.2999999999999999E-2</v>
      </c>
      <c r="B7">
        <f>M7/A7</f>
        <v>4.075643444960213</v>
      </c>
      <c r="E7">
        <v>189614.94</v>
      </c>
      <c r="F7">
        <v>2520</v>
      </c>
      <c r="G7">
        <v>1</v>
      </c>
      <c r="H7">
        <f>F7-G7</f>
        <v>2519</v>
      </c>
      <c r="I7">
        <f>H7/E7</f>
        <v>1.3284818168863698E-2</v>
      </c>
      <c r="J7">
        <v>35.76</v>
      </c>
      <c r="L7">
        <f>I7/(J7/100)</f>
        <v>3.7149938950961123E-2</v>
      </c>
      <c r="M7">
        <f>L7/M2</f>
        <v>5.2983364784482768E-2</v>
      </c>
    </row>
    <row r="9" spans="1:13" x14ac:dyDescent="0.25">
      <c r="A9" s="1" t="s">
        <v>54</v>
      </c>
      <c r="B9" s="1" t="s">
        <v>54</v>
      </c>
      <c r="E9" s="1" t="s">
        <v>54</v>
      </c>
      <c r="H9" s="1" t="s">
        <v>54</v>
      </c>
      <c r="I9" s="1" t="s">
        <v>54</v>
      </c>
      <c r="J9" s="1" t="s">
        <v>54</v>
      </c>
      <c r="L9" s="1" t="s">
        <v>54</v>
      </c>
      <c r="M9" s="1" t="s">
        <v>54</v>
      </c>
    </row>
    <row r="10" spans="1:13" x14ac:dyDescent="0.25">
      <c r="A10">
        <f>0.0001</f>
        <v>1E-4</v>
      </c>
      <c r="B10">
        <f>B7*SQRT(((A10/A7)^2)+((M10/M7)^2))</f>
        <v>0.18123774430914677</v>
      </c>
      <c r="E10">
        <v>0.01</v>
      </c>
      <c r="H10">
        <f>SQRT(H7)</f>
        <v>50.189640365318418</v>
      </c>
      <c r="I10">
        <f>I7*(SQRT(((H10/H7)^2)+((E10/E7)^2)))</f>
        <v>2.6469243597310551E-4</v>
      </c>
      <c r="J10">
        <v>0.84883347138757315</v>
      </c>
      <c r="L10">
        <f>L7*SQRT(((J10/J7)^2)+((I10/I7)^2))</f>
        <v>1.1513040656831659E-3</v>
      </c>
      <c r="M10">
        <f>M7*SQRT(((L10/L7)^2)+((M4/M2)^2))</f>
        <v>2.3205720369595863E-3</v>
      </c>
    </row>
    <row r="18" spans="3:9" x14ac:dyDescent="0.25">
      <c r="I18">
        <f>C2-L2</f>
        <v>1.6040850626100528E-2</v>
      </c>
    </row>
    <row r="25" spans="3:9" x14ac:dyDescent="0.25">
      <c r="C25" t="s">
        <v>23</v>
      </c>
      <c r="D25">
        <f>1.405*10^10</f>
        <v>14050000000</v>
      </c>
    </row>
    <row r="27" spans="3:9" x14ac:dyDescent="0.25">
      <c r="C27" t="s">
        <v>24</v>
      </c>
      <c r="D27">
        <f>D25*365.25*24*60*60</f>
        <v>4.4338428E+17</v>
      </c>
    </row>
    <row r="30" spans="3:9" x14ac:dyDescent="0.25">
      <c r="C30" t="s">
        <v>25</v>
      </c>
      <c r="D30">
        <f>(LN(2))/D27</f>
        <v>1.5633102295822154E-18</v>
      </c>
      <c r="E30" s="1" t="s">
        <v>54</v>
      </c>
      <c r="F30" t="s">
        <v>28</v>
      </c>
      <c r="G30">
        <f>6.022*10^23</f>
        <v>6.0219999999999996E+23</v>
      </c>
    </row>
    <row r="33" spans="3:13" x14ac:dyDescent="0.25">
      <c r="C33" t="s">
        <v>26</v>
      </c>
      <c r="D33">
        <f>B7/D30</f>
        <v>2.6070599218489108E+18</v>
      </c>
      <c r="E33">
        <f>B10/D30</f>
        <v>1.1593204015403992E+17</v>
      </c>
    </row>
    <row r="35" spans="3:13" x14ac:dyDescent="0.25">
      <c r="C35" t="s">
        <v>27</v>
      </c>
      <c r="D35">
        <f>D33/G30</f>
        <v>4.3292260409314368E-6</v>
      </c>
      <c r="E35">
        <f>E33/G30</f>
        <v>1.9251418159089992E-7</v>
      </c>
    </row>
    <row r="37" spans="3:13" x14ac:dyDescent="0.25">
      <c r="C37" t="s">
        <v>29</v>
      </c>
      <c r="D37">
        <f>D35*232</f>
        <v>1.0043804414960934E-3</v>
      </c>
      <c r="E37">
        <f>E35*232</f>
        <v>4.4663290129088779E-5</v>
      </c>
    </row>
    <row r="39" spans="3:13" x14ac:dyDescent="0.25">
      <c r="C39" t="s">
        <v>30</v>
      </c>
      <c r="D39">
        <f>D37*1000000</f>
        <v>1004.3804414960935</v>
      </c>
      <c r="E39">
        <f>E37*1000000</f>
        <v>44.663290129088779</v>
      </c>
    </row>
    <row r="41" spans="3:13" x14ac:dyDescent="0.25">
      <c r="C41" t="s">
        <v>31</v>
      </c>
    </row>
    <row r="43" spans="3:13" x14ac:dyDescent="0.25">
      <c r="C43" t="s">
        <v>32</v>
      </c>
      <c r="D43">
        <f>D37*A7</f>
        <v>1.3056945739449214E-5</v>
      </c>
    </row>
    <row r="44" spans="3:13" x14ac:dyDescent="0.25">
      <c r="G44">
        <v>47.5</v>
      </c>
      <c r="H44" t="s">
        <v>48</v>
      </c>
      <c r="I44" t="s">
        <v>49</v>
      </c>
      <c r="J44" t="s">
        <v>50</v>
      </c>
      <c r="K44" t="s">
        <v>44</v>
      </c>
      <c r="L44" t="s">
        <v>51</v>
      </c>
      <c r="M44" t="s">
        <v>52</v>
      </c>
    </row>
    <row r="45" spans="3:13" x14ac:dyDescent="0.25">
      <c r="C45" t="s">
        <v>33</v>
      </c>
      <c r="D45">
        <f>D43*1000000</f>
        <v>13.056945739449214</v>
      </c>
      <c r="G45">
        <f>70/1000</f>
        <v>7.0000000000000007E-2</v>
      </c>
      <c r="H45">
        <f>G45*G44</f>
        <v>3.3250000000000002</v>
      </c>
      <c r="I45">
        <f>H45/1000000</f>
        <v>3.3250000000000004E-6</v>
      </c>
      <c r="J45">
        <f>I45/232</f>
        <v>1.4331896551724139E-8</v>
      </c>
      <c r="K45">
        <f>J45*G30</f>
        <v>8630668103448276</v>
      </c>
      <c r="L45">
        <f>K45*D30</f>
        <v>1.3492411734249627E-2</v>
      </c>
      <c r="M45">
        <f>L45/47.5</f>
        <v>2.8405077335262374E-4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45"/>
  <sheetViews>
    <sheetView workbookViewId="0">
      <selection activeCell="L15" sqref="L15"/>
    </sheetView>
  </sheetViews>
  <sheetFormatPr defaultRowHeight="15" x14ac:dyDescent="0.25"/>
  <cols>
    <col min="1" max="1" width="16" bestFit="1" customWidth="1"/>
    <col min="4" max="4" width="9.7109375" bestFit="1" customWidth="1"/>
    <col min="7" max="7" width="8" bestFit="1" customWidth="1"/>
    <col min="8" max="8" width="8" customWidth="1"/>
    <col min="9" max="9" width="9.42578125" bestFit="1" customWidth="1"/>
    <col min="10" max="10" width="12" bestFit="1" customWidth="1"/>
    <col min="11" max="11" width="12" customWidth="1"/>
    <col min="12" max="12" width="9.42578125" bestFit="1" customWidth="1"/>
    <col min="13" max="13" width="9.42578125" customWidth="1"/>
    <col min="15" max="15" width="16.85546875" bestFit="1" customWidth="1"/>
    <col min="17" max="20" width="12" bestFit="1" customWidth="1"/>
    <col min="22" max="22" width="16.85546875" bestFit="1" customWidth="1"/>
    <col min="23" max="23" width="6.7109375" bestFit="1" customWidth="1"/>
    <col min="24" max="27" width="12" bestFit="1" customWidth="1"/>
    <col min="29" max="29" width="21" bestFit="1" customWidth="1"/>
    <col min="30" max="30" width="20" bestFit="1" customWidth="1"/>
    <col min="32" max="32" width="7.7109375" bestFit="1" customWidth="1"/>
    <col min="33" max="33" width="21" bestFit="1" customWidth="1"/>
    <col min="34" max="34" width="29.42578125" bestFit="1" customWidth="1"/>
    <col min="36" max="36" width="28.7109375" bestFit="1" customWidth="1"/>
    <col min="38" max="38" width="16.28515625" bestFit="1" customWidth="1"/>
    <col min="39" max="39" width="12" bestFit="1" customWidth="1"/>
  </cols>
  <sheetData>
    <row r="1" spans="1:39" x14ac:dyDescent="0.25">
      <c r="X1" t="s">
        <v>68</v>
      </c>
      <c r="Y1" t="s">
        <v>69</v>
      </c>
      <c r="Z1" t="s">
        <v>70</v>
      </c>
      <c r="AA1" t="s">
        <v>71</v>
      </c>
      <c r="AC1" t="s">
        <v>72</v>
      </c>
      <c r="AD1" t="s">
        <v>73</v>
      </c>
      <c r="AF1" t="s">
        <v>74</v>
      </c>
      <c r="AG1" t="s">
        <v>75</v>
      </c>
      <c r="AH1" t="s">
        <v>76</v>
      </c>
      <c r="AJ1" t="s">
        <v>77</v>
      </c>
      <c r="AL1" t="s">
        <v>44</v>
      </c>
      <c r="AM1" t="s">
        <v>78</v>
      </c>
    </row>
    <row r="2" spans="1:39" x14ac:dyDescent="0.25">
      <c r="W2" t="s">
        <v>56</v>
      </c>
      <c r="X2" s="2">
        <v>4468000000</v>
      </c>
      <c r="Y2">
        <f>X2*365.25</f>
        <v>1631937000000</v>
      </c>
      <c r="Z2">
        <f>Y2*24*60*60</f>
        <v>1.409993568E+17</v>
      </c>
      <c r="AA2">
        <f>(LN(2))/Z2</f>
        <v>4.9159598759243794E-18</v>
      </c>
      <c r="AC2" s="2">
        <v>10000000</v>
      </c>
      <c r="AD2">
        <f>AC2*365.25*24*60*60</f>
        <v>315576000000000</v>
      </c>
      <c r="AF2">
        <f>Q27</f>
        <v>2.8952934955050239E-3</v>
      </c>
      <c r="AG2">
        <f>AF2/(EXP(-AA2*AD2))</f>
        <v>2.8997886208681181E-3</v>
      </c>
      <c r="AH2">
        <f>AG2/AA2</f>
        <v>589872312642269.5</v>
      </c>
      <c r="AJ2">
        <f>(AA2*AA3*AA4*AH2)/((AA3-AA2)*(AA4-AA2)*(AA5-AA2))</f>
        <v>32479091040.410278</v>
      </c>
    </row>
    <row r="3" spans="1:39" x14ac:dyDescent="0.25">
      <c r="W3" t="s">
        <v>79</v>
      </c>
      <c r="Y3">
        <v>24</v>
      </c>
      <c r="Z3">
        <f t="shared" ref="Z3" si="0">Y3*24*60*60</f>
        <v>2073600</v>
      </c>
      <c r="AA3">
        <f t="shared" ref="AA3:AA5" si="1">(LN(2))/Z3</f>
        <v>3.3427236716818347E-7</v>
      </c>
      <c r="AJ3">
        <f>(AA2*AA3*AA4*AH2)/((AA2-AA3)*(AA4-AA3)*(AA5-AA3))</f>
        <v>8777.0238821489256</v>
      </c>
    </row>
    <row r="4" spans="1:39" x14ac:dyDescent="0.25">
      <c r="D4" s="6" t="s">
        <v>78</v>
      </c>
      <c r="E4" s="6"/>
      <c r="F4" s="6"/>
      <c r="G4" s="6"/>
      <c r="H4" s="6"/>
      <c r="J4" s="6" t="s">
        <v>106</v>
      </c>
      <c r="K4" s="6"/>
      <c r="L4" s="6"/>
      <c r="M4" s="6"/>
      <c r="Q4" s="7" t="s">
        <v>44</v>
      </c>
      <c r="R4" s="7"/>
      <c r="W4" t="s">
        <v>80</v>
      </c>
      <c r="Z4">
        <v>24120</v>
      </c>
      <c r="AA4">
        <f t="shared" si="1"/>
        <v>2.873744529684682E-5</v>
      </c>
      <c r="AJ4">
        <f>(AA2*AA3*AA4*AH2)/((AA2-AA4)*(AA3-AA4)*(AA5-AA4))</f>
        <v>-1.18754972646489</v>
      </c>
    </row>
    <row r="5" spans="1:39" x14ac:dyDescent="0.25">
      <c r="A5" t="s">
        <v>110</v>
      </c>
      <c r="C5" t="s">
        <v>55</v>
      </c>
      <c r="D5" s="4" t="s">
        <v>56</v>
      </c>
      <c r="E5" s="4" t="s">
        <v>103</v>
      </c>
      <c r="F5" s="4" t="s">
        <v>57</v>
      </c>
      <c r="G5" s="4" t="s">
        <v>58</v>
      </c>
      <c r="H5" s="4" t="s">
        <v>104</v>
      </c>
      <c r="J5" s="4" t="s">
        <v>59</v>
      </c>
      <c r="K5" s="4" t="s">
        <v>101</v>
      </c>
      <c r="L5" s="3" t="s">
        <v>89</v>
      </c>
      <c r="M5" s="4" t="s">
        <v>102</v>
      </c>
      <c r="O5" t="s">
        <v>105</v>
      </c>
      <c r="Q5" t="s">
        <v>94</v>
      </c>
      <c r="R5" t="s">
        <v>98</v>
      </c>
      <c r="T5" t="s">
        <v>99</v>
      </c>
      <c r="W5" t="s">
        <v>81</v>
      </c>
      <c r="X5">
        <v>246000</v>
      </c>
      <c r="Y5">
        <f>X5*365.25</f>
        <v>89851500</v>
      </c>
      <c r="Z5">
        <f>Y5*24*60*60</f>
        <v>7763169600000</v>
      </c>
      <c r="AA5">
        <f t="shared" si="1"/>
        <v>8.9286620835894818E-14</v>
      </c>
      <c r="AJ5">
        <f>(AA2*AA3*AA4*AH2)/((AA2-AA5)*(AA3-AA5)*(AA4-AA5))</f>
        <v>-32479099816.246601</v>
      </c>
      <c r="AL5">
        <f>(AJ2*(EXP(-AA2*AD2)))+(AJ3*(EXP(-AA3*AD2)))+(AJ4*(EXP(-AA4*AD2))+(AJ5*(EXP(-AA5*AD2))))</f>
        <v>32428743375.442596</v>
      </c>
      <c r="AM5">
        <f>AA5*AL5</f>
        <v>2.895452913947679E-3</v>
      </c>
    </row>
    <row r="6" spans="1:39" x14ac:dyDescent="0.25">
      <c r="D6" s="4"/>
      <c r="E6" s="4"/>
      <c r="F6" s="4"/>
      <c r="G6" s="4"/>
      <c r="H6" s="4"/>
      <c r="J6" s="4"/>
      <c r="K6" s="4"/>
      <c r="L6" s="3"/>
      <c r="M6" s="4"/>
    </row>
    <row r="7" spans="1:39" x14ac:dyDescent="0.25">
      <c r="A7">
        <v>44</v>
      </c>
      <c r="C7">
        <v>9</v>
      </c>
      <c r="D7" s="4">
        <v>2.8000000000000001E-2</v>
      </c>
      <c r="E7" s="4">
        <v>1.5E-3</v>
      </c>
      <c r="F7" s="4">
        <v>2.46E-2</v>
      </c>
      <c r="G7" s="4">
        <v>7.7000000000000002E-3</v>
      </c>
      <c r="H7" s="4">
        <v>5.1999999999999995E-4</v>
      </c>
      <c r="J7" s="4">
        <f>D7/G7</f>
        <v>3.6363636363636362</v>
      </c>
      <c r="K7" s="4">
        <f>J7*SQRT(((E7/D7)^2)+((H7/G7)^2))</f>
        <v>0.31345648871381299</v>
      </c>
      <c r="L7" s="3">
        <f>G7/D7</f>
        <v>0.27500000000000002</v>
      </c>
      <c r="M7" s="4">
        <f>L7*SQRT(((E7/D7)^2)+((H7/G7)^2))</f>
        <v>2.3705146958982109E-2</v>
      </c>
      <c r="O7">
        <v>0.29114834110271265</v>
      </c>
      <c r="Q7">
        <f>D7/AA$2</f>
        <v>5695734039069019</v>
      </c>
      <c r="R7">
        <f>G7/AA$5</f>
        <v>86239124382.949692</v>
      </c>
      <c r="T7">
        <f>R7/Q7</f>
        <v>1.5141002685765447E-5</v>
      </c>
    </row>
    <row r="8" spans="1:39" x14ac:dyDescent="0.25">
      <c r="A8">
        <v>52.2</v>
      </c>
      <c r="C8">
        <v>10</v>
      </c>
      <c r="D8" s="4">
        <v>3.2800000000000003E-2</v>
      </c>
      <c r="E8" s="4">
        <v>1.1000000000000001E-3</v>
      </c>
      <c r="F8" s="4">
        <v>2.9000000000000001E-2</v>
      </c>
      <c r="G8" s="4">
        <v>8.3000000000000001E-3</v>
      </c>
      <c r="H8" s="4">
        <v>4.0000000000000002E-4</v>
      </c>
      <c r="J8" s="4">
        <f t="shared" ref="J8:J11" si="2">D8/G8</f>
        <v>3.9518072289156629</v>
      </c>
      <c r="K8" s="4">
        <f t="shared" ref="K8:K11" si="3">J8*SQRT(((E8/D8)^2)+((H8/G8)^2))</f>
        <v>0.23202344636284802</v>
      </c>
      <c r="L8" s="3">
        <f t="shared" ref="L8:L11" si="4">G8/D8</f>
        <v>0.25304878048780488</v>
      </c>
      <c r="M8" s="4">
        <f t="shared" ref="M8:M11" si="5">L8*SQRT(((E8/D8)^2)+((H8/G8)^2))</f>
        <v>1.4857316348096929E-2</v>
      </c>
      <c r="O8">
        <v>0.29031202209430967</v>
      </c>
      <c r="Q8">
        <f t="shared" ref="Q8:Q11" si="6">D8/AA$2</f>
        <v>6672145588623709</v>
      </c>
      <c r="R8">
        <f t="shared" ref="R8:R11" si="7">G8/AA$5</f>
        <v>92959056153.049652</v>
      </c>
      <c r="T8">
        <f t="shared" ref="T8:T11" si="8">R8/Q8</f>
        <v>1.3932408236347358E-5</v>
      </c>
    </row>
    <row r="9" spans="1:39" x14ac:dyDescent="0.25">
      <c r="A9">
        <v>79.7</v>
      </c>
      <c r="C9">
        <v>11</v>
      </c>
      <c r="D9" s="4">
        <v>4.9700000000000001E-2</v>
      </c>
      <c r="E9" s="4">
        <v>1.15E-3</v>
      </c>
      <c r="F9" s="4">
        <v>5.4600000000000003E-2</v>
      </c>
      <c r="G9" s="4">
        <v>1.4800000000000001E-2</v>
      </c>
      <c r="H9" s="4">
        <v>5.1000000000000004E-4</v>
      </c>
      <c r="J9" s="4">
        <f t="shared" si="2"/>
        <v>3.3581081081081079</v>
      </c>
      <c r="K9" s="4">
        <f t="shared" si="3"/>
        <v>0.1393861618953576</v>
      </c>
      <c r="L9" s="3">
        <f t="shared" si="4"/>
        <v>0.2977867203219316</v>
      </c>
      <c r="M9" s="4">
        <f t="shared" si="5"/>
        <v>1.236033703288509E-2</v>
      </c>
      <c r="O9">
        <v>0.29118941735980863</v>
      </c>
      <c r="Q9">
        <f t="shared" si="6"/>
        <v>1.010992791934751E+16</v>
      </c>
      <c r="R9">
        <f t="shared" si="7"/>
        <v>165758316995.79941</v>
      </c>
      <c r="T9">
        <f t="shared" si="8"/>
        <v>1.6395598298835088E-5</v>
      </c>
    </row>
    <row r="10" spans="1:39" x14ac:dyDescent="0.25">
      <c r="A10">
        <v>71</v>
      </c>
      <c r="C10">
        <v>12</v>
      </c>
      <c r="D10" s="4">
        <v>4.4499999999999998E-2</v>
      </c>
      <c r="E10" s="4">
        <v>1.42E-3</v>
      </c>
      <c r="F10" s="4">
        <v>3.85E-2</v>
      </c>
      <c r="G10" s="4">
        <v>1.18E-2</v>
      </c>
      <c r="H10" s="4">
        <v>5.1500000000000005E-4</v>
      </c>
      <c r="J10" s="4">
        <f t="shared" si="2"/>
        <v>3.7711864406779658</v>
      </c>
      <c r="K10" s="4">
        <f t="shared" si="3"/>
        <v>0.20389043998660855</v>
      </c>
      <c r="L10" s="3">
        <f t="shared" si="4"/>
        <v>0.26516853932584272</v>
      </c>
      <c r="M10" s="4">
        <f t="shared" si="5"/>
        <v>1.4336424625039961E-2</v>
      </c>
      <c r="O10">
        <v>0.29026367459264785</v>
      </c>
      <c r="Q10">
        <f t="shared" si="6"/>
        <v>9052148740663262</v>
      </c>
      <c r="R10">
        <f t="shared" si="7"/>
        <v>132158658145.29951</v>
      </c>
      <c r="T10">
        <f t="shared" si="8"/>
        <v>1.4599700240411217E-5</v>
      </c>
    </row>
    <row r="11" spans="1:39" x14ac:dyDescent="0.25">
      <c r="A11">
        <v>61</v>
      </c>
      <c r="C11">
        <v>13</v>
      </c>
      <c r="D11" s="4">
        <v>3.78E-2</v>
      </c>
      <c r="E11" s="4">
        <v>9.1E-4</v>
      </c>
      <c r="F11" s="4">
        <v>3.3799999999999997E-2</v>
      </c>
      <c r="G11" s="4">
        <v>1.017E-2</v>
      </c>
      <c r="H11" s="4">
        <v>4.0999999999999999E-4</v>
      </c>
      <c r="J11" s="4">
        <f t="shared" si="2"/>
        <v>3.7168141592920354</v>
      </c>
      <c r="K11" s="4">
        <f t="shared" si="3"/>
        <v>0.17452538739904949</v>
      </c>
      <c r="L11" s="3">
        <f t="shared" si="4"/>
        <v>0.26904761904761904</v>
      </c>
      <c r="M11" s="4">
        <f t="shared" si="5"/>
        <v>1.2633303127542307E-2</v>
      </c>
      <c r="O11">
        <v>0.29163243183277721</v>
      </c>
      <c r="Q11">
        <f t="shared" si="6"/>
        <v>7689240952743176</v>
      </c>
      <c r="R11">
        <f t="shared" si="7"/>
        <v>113902843503.19458</v>
      </c>
      <c r="T11">
        <f t="shared" si="8"/>
        <v>1.481327535490472E-5</v>
      </c>
    </row>
    <row r="13" spans="1:39" x14ac:dyDescent="0.25">
      <c r="L13" s="5">
        <f>AVERAGE(L7:L11)</f>
        <v>0.27201033183663964</v>
      </c>
      <c r="N13" t="s">
        <v>107</v>
      </c>
      <c r="O13">
        <f>AVERAGE(O7:O11)</f>
        <v>0.29090917739645122</v>
      </c>
    </row>
    <row r="14" spans="1:39" x14ac:dyDescent="0.25">
      <c r="L14">
        <f>(STDEV(L7:L11))*2</f>
        <v>3.2992249702880568E-2</v>
      </c>
      <c r="N14" t="s">
        <v>108</v>
      </c>
      <c r="O14">
        <f>STDEV(O7:O11)</f>
        <v>5.9835169835855404E-4</v>
      </c>
    </row>
    <row r="15" spans="1:39" x14ac:dyDescent="0.25">
      <c r="N15" t="s">
        <v>109</v>
      </c>
      <c r="O15">
        <f>O14*2</f>
        <v>1.1967033967171081E-3</v>
      </c>
      <c r="AH15" t="s">
        <v>83</v>
      </c>
      <c r="AJ15" t="s">
        <v>82</v>
      </c>
    </row>
    <row r="16" spans="1:39" x14ac:dyDescent="0.25">
      <c r="AG16">
        <f>AM5/AG2</f>
        <v>0.99850481966539306</v>
      </c>
      <c r="AH16">
        <f>AH2/0.99274</f>
        <v>594186103755534.75</v>
      </c>
      <c r="AJ16">
        <f>AL5/AH16*100</f>
        <v>5.4576744845558885E-3</v>
      </c>
    </row>
    <row r="18" spans="4:36" x14ac:dyDescent="0.25">
      <c r="AC18">
        <f>X21+Y21</f>
        <v>1.0830891527645562E+16</v>
      </c>
      <c r="AH18" t="s">
        <v>84</v>
      </c>
      <c r="AJ18" t="s">
        <v>85</v>
      </c>
    </row>
    <row r="20" spans="4:36" x14ac:dyDescent="0.25">
      <c r="D20" t="s">
        <v>66</v>
      </c>
      <c r="I20" t="s">
        <v>60</v>
      </c>
      <c r="J20" t="s">
        <v>61</v>
      </c>
      <c r="L20" t="s">
        <v>62</v>
      </c>
      <c r="Q20" t="s">
        <v>63</v>
      </c>
      <c r="R20" t="s">
        <v>64</v>
      </c>
      <c r="S20" t="s">
        <v>65</v>
      </c>
      <c r="U20" t="s">
        <v>59</v>
      </c>
      <c r="V20" t="s">
        <v>89</v>
      </c>
      <c r="X20" t="s">
        <v>86</v>
      </c>
      <c r="Y20" t="s">
        <v>87</v>
      </c>
    </row>
    <row r="21" spans="4:36" x14ac:dyDescent="0.25">
      <c r="F21">
        <v>0.35759999999999997</v>
      </c>
      <c r="I21">
        <v>3808</v>
      </c>
      <c r="J21">
        <v>4037</v>
      </c>
      <c r="L21">
        <v>494</v>
      </c>
      <c r="Q21">
        <f>(I21/F21)/F22</f>
        <v>5.3243847874720356E-2</v>
      </c>
      <c r="R21">
        <f>(J21/F21)/F22</f>
        <v>5.6445749440715891E-2</v>
      </c>
      <c r="S21">
        <f>(L21/F21)/F22</f>
        <v>6.9071588366890384E-3</v>
      </c>
      <c r="U21">
        <f>Q21/S21</f>
        <v>7.708502024291497</v>
      </c>
      <c r="V21">
        <f>S21/Q21</f>
        <v>0.12972689075630253</v>
      </c>
      <c r="X21">
        <f>Q21/AA2</f>
        <v>1.083081416825205E+16</v>
      </c>
      <c r="Y21">
        <f>S21/AA5</f>
        <v>77359393512.98909</v>
      </c>
      <c r="AA21">
        <f>Y21/AC18*100</f>
        <v>7.1424769895932661E-4</v>
      </c>
      <c r="AC21">
        <f>X21/AC18*100</f>
        <v>99.999285752301049</v>
      </c>
    </row>
    <row r="22" spans="4:36" x14ac:dyDescent="0.25">
      <c r="F22">
        <v>200000</v>
      </c>
    </row>
    <row r="25" spans="4:36" x14ac:dyDescent="0.25">
      <c r="AC25">
        <f>SUM(X27:Y27)</f>
        <v>588990493434889.75</v>
      </c>
    </row>
    <row r="26" spans="4:36" x14ac:dyDescent="0.25">
      <c r="D26" t="s">
        <v>67</v>
      </c>
    </row>
    <row r="27" spans="4:36" x14ac:dyDescent="0.25">
      <c r="F27">
        <v>0.37819999999999998</v>
      </c>
      <c r="I27">
        <v>219</v>
      </c>
      <c r="L27">
        <v>220</v>
      </c>
      <c r="Q27">
        <f>(I27/F27)/F28</f>
        <v>2.8952934955050239E-3</v>
      </c>
      <c r="R27" t="e">
        <f t="shared" ref="R27" si="9">(J27/G27)/G28</f>
        <v>#DIV/0!</v>
      </c>
      <c r="S27">
        <f>(L27/F27)/F28</f>
        <v>2.908514013749339E-3</v>
      </c>
      <c r="U27">
        <f>Q27/S27</f>
        <v>0.99545454545454548</v>
      </c>
      <c r="V27">
        <f>S27/Q27</f>
        <v>1.004566210045662</v>
      </c>
      <c r="X27">
        <f>Q27/AA2</f>
        <v>588957918408681.75</v>
      </c>
      <c r="Y27">
        <f>S27/AA5</f>
        <v>32575026207.958633</v>
      </c>
      <c r="AA27">
        <f>Y27/AC25*100</f>
        <v>5.5306539869577126E-3</v>
      </c>
      <c r="AC27">
        <f>X27/AC25*100</f>
        <v>99.994469346013034</v>
      </c>
    </row>
    <row r="28" spans="4:36" x14ac:dyDescent="0.25">
      <c r="F28">
        <v>200000</v>
      </c>
    </row>
    <row r="30" spans="4:36" x14ac:dyDescent="0.25">
      <c r="D30" s="3" t="s">
        <v>95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G30">
        <v>99.274000000000001</v>
      </c>
      <c r="AH30">
        <v>5.0000000000000001E-3</v>
      </c>
    </row>
    <row r="31" spans="4:36" x14ac:dyDescent="0.25">
      <c r="D31" s="3" t="s">
        <v>96</v>
      </c>
      <c r="E31" s="3"/>
      <c r="F31" s="3">
        <v>2.75E-2</v>
      </c>
      <c r="G31" s="3"/>
      <c r="H31" s="3"/>
      <c r="I31" s="3">
        <f>SQRT(I27)</f>
        <v>14.798648586948742</v>
      </c>
      <c r="J31" s="3"/>
      <c r="K31" s="3"/>
      <c r="L31" s="3">
        <f t="shared" ref="L31" si="10">SQRT(L27)</f>
        <v>14.832396974191326</v>
      </c>
      <c r="M31" s="3"/>
      <c r="N31" s="3"/>
      <c r="O31" s="3"/>
      <c r="P31" s="3"/>
      <c r="Q31" s="3">
        <f>Q27*SQRT(((I31/I27)^2)+((F31/F27)^2)+((F32/F28)^2))</f>
        <v>2.873988066443111E-4</v>
      </c>
      <c r="R31" s="3"/>
      <c r="S31" s="3">
        <f>S27*SQRT(((L31/L27)^2)+((F31/F27)^2)+((F32/F28)^2))</f>
        <v>2.884068937624054E-4</v>
      </c>
      <c r="T31" s="3"/>
      <c r="U31" s="3">
        <f>U27*SQRT(((S31/S27)^2)+((Q31/Q27)^2))</f>
        <v>0.13966898390864171</v>
      </c>
      <c r="V31" s="3">
        <f>V27*SQRT(((S31/S27)^2)+((Q31/Q27)^2))</f>
        <v>0.1409474118800329</v>
      </c>
      <c r="W31" s="3"/>
      <c r="X31" s="3">
        <f>X27*SQRT(((U31/U27)^2)+((V31/V27)^2))</f>
        <v>116863207655710.53</v>
      </c>
      <c r="Y31" s="3">
        <f>Y27*SQRT(((U31/U27)^2)+((V31/V27)^2))</f>
        <v>6463657136.0083208</v>
      </c>
      <c r="Z31" s="3"/>
      <c r="AA31" s="3">
        <f>AA27*SQRT(((X31/X27)^2)+((Y31/Y27)^2))</f>
        <v>1.551976082154389E-3</v>
      </c>
      <c r="AB31" s="3"/>
      <c r="AC31" s="3"/>
      <c r="AG31">
        <f>AH30/AG30*100</f>
        <v>5.0365654652779184E-3</v>
      </c>
    </row>
    <row r="32" spans="4:36" x14ac:dyDescent="0.25">
      <c r="D32" s="3" t="s">
        <v>97</v>
      </c>
      <c r="E32" s="3"/>
      <c r="F32" s="3">
        <v>0.1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</row>
    <row r="40" spans="24:27" x14ac:dyDescent="0.25">
      <c r="X40" t="s">
        <v>90</v>
      </c>
      <c r="Y40">
        <f>X27/0.99274</f>
        <v>593265022471827.25</v>
      </c>
    </row>
    <row r="41" spans="24:27" x14ac:dyDescent="0.25">
      <c r="X41" t="s">
        <v>92</v>
      </c>
      <c r="Y41">
        <f>Y40*0.0072</f>
        <v>4271508161797.1563</v>
      </c>
    </row>
    <row r="42" spans="24:27" x14ac:dyDescent="0.25">
      <c r="X42" t="s">
        <v>93</v>
      </c>
      <c r="Y42">
        <f>Y41*AA45</f>
        <v>1.3326928734573002E-4</v>
      </c>
    </row>
    <row r="44" spans="24:27" x14ac:dyDescent="0.25">
      <c r="X44" t="s">
        <v>91</v>
      </c>
      <c r="AA44" t="s">
        <v>71</v>
      </c>
    </row>
    <row r="45" spans="24:27" x14ac:dyDescent="0.25">
      <c r="X45" s="2">
        <v>704000000</v>
      </c>
      <c r="Y45">
        <f>X45*365.25</f>
        <v>257136000000</v>
      </c>
      <c r="Z45">
        <f>Y45*24*60*60</f>
        <v>2.22165504E+16</v>
      </c>
      <c r="AA45">
        <f>(LN(2))/Z45</f>
        <v>3.1199586257997337E-17</v>
      </c>
    </row>
  </sheetData>
  <mergeCells count="3">
    <mergeCell ref="D4:H4"/>
    <mergeCell ref="J4:M4"/>
    <mergeCell ref="Q4:R4"/>
  </mergeCells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Uranium</vt:lpstr>
      <vt:lpstr>Thorium</vt:lpstr>
      <vt:lpstr>234.238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2015-06-05T18:17:20Z</dcterms:created>
  <dcterms:modified xsi:type="dcterms:W3CDTF">2021-12-16T15:08:19Z</dcterms:modified>
</cp:coreProperties>
</file>